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Kostnadsoverslag" sheetId="1" r:id="rId1"/>
    <sheet name="Finansieringsplan" sheetId="2" r:id="rId2"/>
    <sheet name="Driftsplan" sheetId="3" r:id="rId3"/>
  </sheets>
  <definedNames>
    <definedName name="_xlnm.Print_Area" localSheetId="0">'Kostnadsoverslag'!$A$1:$K$60</definedName>
  </definedNames>
  <calcPr fullCalcOnLoad="1"/>
</workbook>
</file>

<file path=xl/sharedStrings.xml><?xml version="1.0" encoding="utf-8"?>
<sst xmlns="http://schemas.openxmlformats.org/spreadsheetml/2006/main" count="188" uniqueCount="148">
  <si>
    <t>Enh.Pr.</t>
  </si>
  <si>
    <t>SUM</t>
  </si>
  <si>
    <t>Post</t>
  </si>
  <si>
    <t>Beskrivelse</t>
  </si>
  <si>
    <t>Enh.</t>
  </si>
  <si>
    <t>Mengde</t>
  </si>
  <si>
    <t>Matr.</t>
  </si>
  <si>
    <t>Arb.</t>
  </si>
  <si>
    <t>Materiell</t>
  </si>
  <si>
    <t>Arbeid</t>
  </si>
  <si>
    <t xml:space="preserve"> tot. verdi</t>
  </si>
  <si>
    <t>SUM KAP.</t>
  </si>
  <si>
    <t>7.0.0</t>
  </si>
  <si>
    <t>RIGGING</t>
  </si>
  <si>
    <t>7.0.1</t>
  </si>
  <si>
    <t>Transportrigg for maskiner</t>
  </si>
  <si>
    <t>RS</t>
  </si>
  <si>
    <t>7.1.0</t>
  </si>
  <si>
    <t>GRAVING/FYLLING/PLANERING</t>
  </si>
  <si>
    <t>7.1.1</t>
  </si>
  <si>
    <t>m2</t>
  </si>
  <si>
    <t>7.1.2</t>
  </si>
  <si>
    <t>7.1.3</t>
  </si>
  <si>
    <t>7.1.4</t>
  </si>
  <si>
    <t>SUM GRAVEARBEIDER</t>
  </si>
  <si>
    <t>7.2.0</t>
  </si>
  <si>
    <t>7.2.1</t>
  </si>
  <si>
    <t>lm</t>
  </si>
  <si>
    <t>7.2.2</t>
  </si>
  <si>
    <t>7.2.3</t>
  </si>
  <si>
    <t>stk</t>
  </si>
  <si>
    <t>7.2.4</t>
  </si>
  <si>
    <t>7.2.5</t>
  </si>
  <si>
    <t>7.2.6</t>
  </si>
  <si>
    <t xml:space="preserve"> </t>
  </si>
  <si>
    <t>7.3.0</t>
  </si>
  <si>
    <t>7.3.1</t>
  </si>
  <si>
    <t>7.3.2</t>
  </si>
  <si>
    <t>7.3.3</t>
  </si>
  <si>
    <t>7.5.0</t>
  </si>
  <si>
    <t>EL-ARBEIDER</t>
  </si>
  <si>
    <t>7.5.1</t>
  </si>
  <si>
    <t>Overslag installasjonsmateriell,som nedenfor beskrevet :</t>
  </si>
  <si>
    <t>Sikringsfordeling</t>
  </si>
  <si>
    <t>SUM EL-ARBEIDER</t>
  </si>
  <si>
    <t>SUM ENTREPRISEKOSTNAD</t>
  </si>
  <si>
    <t>8.0</t>
  </si>
  <si>
    <t>9.0</t>
  </si>
  <si>
    <t>Spesielle kostnader :</t>
  </si>
  <si>
    <t>9.1</t>
  </si>
  <si>
    <t>9.2</t>
  </si>
  <si>
    <t>Finans 10% i 5mnd.</t>
  </si>
  <si>
    <t>PROSJEKTKOSTNAD</t>
  </si>
  <si>
    <t>10.0</t>
  </si>
  <si>
    <t>Margin/reserver 5%</t>
  </si>
  <si>
    <t>BUDSJETT</t>
  </si>
  <si>
    <t>Prisene baserer seg på enhetspriser fra sammenlignbare prosjekter justert til dagens prisnivå.</t>
  </si>
  <si>
    <t>Entreprenør</t>
  </si>
  <si>
    <t>A</t>
  </si>
  <si>
    <t>B</t>
  </si>
  <si>
    <t>C</t>
  </si>
  <si>
    <t>MATERIELL</t>
  </si>
  <si>
    <t>ARBEID</t>
  </si>
  <si>
    <t>SAMLA KOSTN.</t>
  </si>
  <si>
    <t>Kostnadstype</t>
  </si>
  <si>
    <t>Herav Kjøp</t>
  </si>
  <si>
    <t>Dugnad</t>
  </si>
  <si>
    <t>Kjøp</t>
  </si>
  <si>
    <t>MVA</t>
  </si>
  <si>
    <t>Inkl. mva.</t>
  </si>
  <si>
    <t>FELLESKOSTNADER (Rigg etc.)</t>
  </si>
  <si>
    <t>GENERELLE KOSTNADER</t>
  </si>
  <si>
    <t>BYGGELÅNSRENTE</t>
  </si>
  <si>
    <t>MARGIN RESERVER</t>
  </si>
  <si>
    <t>SUM STØNADSBERETTIGET BELØP</t>
  </si>
  <si>
    <t>Egenkapital</t>
  </si>
  <si>
    <t>KOSTNADSRAMME</t>
  </si>
  <si>
    <t>Inntekter</t>
  </si>
  <si>
    <t>Utgifter</t>
  </si>
  <si>
    <t>90 driftsdager med gjennomsnittlig 40 pers./dag. Dagskort a´kr 35,-</t>
  </si>
  <si>
    <t>Salg av kioskvarer + kaffesalg. 90 dager 40 pers./dag, 20 kr pr. pers.</t>
  </si>
  <si>
    <t>Utgifter:</t>
  </si>
  <si>
    <t>Lav moms 7% (transp. personell i bakken)</t>
  </si>
  <si>
    <t>Drift og vedlikehold</t>
  </si>
  <si>
    <t>Veritas godkjenning</t>
  </si>
  <si>
    <t>Leie av tråkkemaskin</t>
  </si>
  <si>
    <t>Leie av grunn</t>
  </si>
  <si>
    <t>Innleid arbeidskraft til drift</t>
  </si>
  <si>
    <t>Diverse utgifter</t>
  </si>
  <si>
    <t>DRIFTSOVERSKUDD</t>
  </si>
  <si>
    <t>MVA 25%</t>
  </si>
  <si>
    <t>Eks. mva</t>
  </si>
  <si>
    <t>Dokumenteres med kontoutskrift</t>
  </si>
  <si>
    <t>……………………………………………..</t>
  </si>
  <si>
    <t>KOSTNADSOVERSLAG</t>
  </si>
  <si>
    <t>Sakshaug 08.02.2013</t>
  </si>
  <si>
    <t>……………………………………………</t>
  </si>
  <si>
    <t xml:space="preserve">Spillemidler </t>
  </si>
  <si>
    <t>……………………………………………………………..</t>
  </si>
  <si>
    <t>Dokumentasjon</t>
  </si>
  <si>
    <t>DUGNAD</t>
  </si>
  <si>
    <t>Sign</t>
  </si>
  <si>
    <t>…………………………………….</t>
  </si>
  <si>
    <t>…………………………………………………………</t>
  </si>
  <si>
    <t>Leder Stiftelsen skitrekk i  xxxxxxxxxxxxxxx</t>
  </si>
  <si>
    <t>Generelle kostnader (Planlegging, prosjektering)</t>
  </si>
  <si>
    <t>Bilag</t>
  </si>
  <si>
    <t>Betjening av lån 5% rente</t>
  </si>
  <si>
    <t xml:space="preserve">Rydding av skog og kratt </t>
  </si>
  <si>
    <t>Bearbeiding/tilpassning av grunn for trappebygging</t>
  </si>
  <si>
    <t>Såing av områder utenfor trappa. B=4m</t>
  </si>
  <si>
    <t>Filterduk under trappa</t>
  </si>
  <si>
    <t>TRAPP</t>
  </si>
  <si>
    <t>Vanger for trapp 48x223mm impregnert  3 stk</t>
  </si>
  <si>
    <t>Jordspyd for forankring av vanger. cc 2,5m</t>
  </si>
  <si>
    <t>Trinn l=1,5m b=55cm (2 stk 48x250mm impregnert)</t>
  </si>
  <si>
    <t>Stendere til håndlist cc 1,25m. L= 1,3m. Dim 48x98mm imp</t>
  </si>
  <si>
    <t>Håndlister for trapp i 2 høyder. 28x95mm</t>
  </si>
  <si>
    <t>SUM TRAPPEARBEIDER</t>
  </si>
  <si>
    <t>Trenings-/kvilereposer med trim/sittebenk, mål 2,5x3m</t>
  </si>
  <si>
    <t>Fastmontert Treningsutstyr på reposene</t>
  </si>
  <si>
    <t>Rekkverk på kvilereposer</t>
  </si>
  <si>
    <t>Kabel for lyspunkter</t>
  </si>
  <si>
    <t>Hovedkabel til skap, tilførsel, fra skole</t>
  </si>
  <si>
    <t>EL-fordelingsskap, 16A. Monteres på skole</t>
  </si>
  <si>
    <t>Lyspunkter inkl mast m/fundament + lysarmatur og ledlys</t>
  </si>
  <si>
    <t>SUM TRENINGS-/KVILEREPOSER</t>
  </si>
  <si>
    <t>TRENINGS-/KVILEREPOSER</t>
  </si>
  <si>
    <t>Administrasjonskostnader 5%</t>
  </si>
  <si>
    <t>Prosjekteringskostnader 10%</t>
  </si>
  <si>
    <t>Administrasjon 5%</t>
  </si>
  <si>
    <t>Prosjektering 10%</t>
  </si>
  <si>
    <t>D=A+B</t>
  </si>
  <si>
    <t>E=Dx25%</t>
  </si>
  <si>
    <t>F=D+C+E</t>
  </si>
  <si>
    <t>SØKNADSSUM = 50% av stønadsberettiget beløp, med beløp inntil 600 000 (2 tiltak)</t>
  </si>
  <si>
    <t>50% av godkjent søknadssum</t>
  </si>
  <si>
    <t>…………………………………………………………………………………………</t>
  </si>
  <si>
    <t>Dokumenteres med dugnadsoversikt</t>
  </si>
  <si>
    <t>Saksbehandler</t>
  </si>
  <si>
    <t>Vinkel av dørkplate i front av trinn</t>
  </si>
  <si>
    <t>PROSJEKT :  TRIMTRAPP …………………………………………………</t>
  </si>
  <si>
    <t>ANLEGG :  xxxxxxx</t>
  </si>
  <si>
    <t>PROSJEKT :   XXXXXXXX</t>
  </si>
  <si>
    <t xml:space="preserve">ANLEGG :  XXXXXXXX  </t>
  </si>
  <si>
    <t>DRIFTSPLAN  Eksempel</t>
  </si>
  <si>
    <t>xxxxx 06.09.2018</t>
  </si>
  <si>
    <t>PROSJEKT :  TRIMTRAPP (Eksempel) …………………………………………………</t>
  </si>
</sst>
</file>

<file path=xl/styles.xml><?xml version="1.0" encoding="utf-8"?>
<styleSheet xmlns="http://schemas.openxmlformats.org/spreadsheetml/2006/main">
  <numFmts count="2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"/>
    <numFmt numFmtId="173" formatCode="0.000"/>
    <numFmt numFmtId="174" formatCode="0.0"/>
    <numFmt numFmtId="175" formatCode="_ * #,##0.0_ ;_ * \-#,##0.0_ ;_ * &quot;-&quot;??_ ;_ @_ "/>
    <numFmt numFmtId="176" formatCode="_ * #,##0_ ;_ * \-#,##0_ ;_ * &quot;-&quot;??_ ;_ @_ "/>
    <numFmt numFmtId="177" formatCode="_ * #,##0.000_ ;_ * \-#,##0.000_ ;_ * &quot;-&quot;??_ ;_ @_ "/>
    <numFmt numFmtId="178" formatCode="_ * #,##0.0000_ ;_ * \-#,##0.00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76" fontId="44" fillId="0" borderId="10" xfId="39" applyNumberFormat="1" applyFont="1" applyBorder="1" applyAlignment="1">
      <alignment/>
    </xf>
    <xf numFmtId="0" fontId="44" fillId="0" borderId="11" xfId="0" applyFont="1" applyBorder="1" applyAlignment="1">
      <alignment/>
    </xf>
    <xf numFmtId="176" fontId="44" fillId="0" borderId="11" xfId="39" applyNumberFormat="1" applyFont="1" applyBorder="1" applyAlignment="1">
      <alignment/>
    </xf>
    <xf numFmtId="0" fontId="44" fillId="0" borderId="12" xfId="0" applyFont="1" applyBorder="1" applyAlignment="1">
      <alignment/>
    </xf>
    <xf numFmtId="176" fontId="44" fillId="0" borderId="0" xfId="0" applyNumberFormat="1" applyFont="1" applyAlignment="1">
      <alignment/>
    </xf>
    <xf numFmtId="0" fontId="44" fillId="0" borderId="13" xfId="0" applyFont="1" applyBorder="1" applyAlignment="1">
      <alignment/>
    </xf>
    <xf numFmtId="176" fontId="44" fillId="0" borderId="14" xfId="39" applyNumberFormat="1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5" xfId="0" applyFont="1" applyBorder="1" applyAlignment="1">
      <alignment/>
    </xf>
    <xf numFmtId="176" fontId="44" fillId="0" borderId="15" xfId="39" applyNumberFormat="1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176" fontId="44" fillId="0" borderId="19" xfId="39" applyNumberFormat="1" applyFont="1" applyBorder="1" applyAlignment="1">
      <alignment/>
    </xf>
    <xf numFmtId="176" fontId="44" fillId="0" borderId="20" xfId="39" applyNumberFormat="1" applyFont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22" xfId="0" applyFont="1" applyFill="1" applyBorder="1" applyAlignment="1">
      <alignment horizontal="right"/>
    </xf>
    <xf numFmtId="0" fontId="45" fillId="33" borderId="23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45" fillId="33" borderId="24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33" borderId="25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46" fillId="33" borderId="26" xfId="0" applyFont="1" applyFill="1" applyBorder="1" applyAlignment="1">
      <alignment/>
    </xf>
    <xf numFmtId="0" fontId="46" fillId="33" borderId="27" xfId="0" applyFont="1" applyFill="1" applyBorder="1" applyAlignment="1">
      <alignment/>
    </xf>
    <xf numFmtId="0" fontId="46" fillId="33" borderId="28" xfId="0" applyFont="1" applyFill="1" applyBorder="1" applyAlignment="1">
      <alignment/>
    </xf>
    <xf numFmtId="0" fontId="46" fillId="33" borderId="29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30" xfId="0" applyFont="1" applyFill="1" applyBorder="1" applyAlignment="1">
      <alignment/>
    </xf>
    <xf numFmtId="0" fontId="46" fillId="33" borderId="31" xfId="0" applyFont="1" applyFill="1" applyBorder="1" applyAlignment="1">
      <alignment/>
    </xf>
    <xf numFmtId="0" fontId="46" fillId="33" borderId="32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0" fontId="46" fillId="33" borderId="33" xfId="0" applyFont="1" applyFill="1" applyBorder="1" applyAlignment="1">
      <alignment/>
    </xf>
    <xf numFmtId="0" fontId="47" fillId="0" borderId="10" xfId="0" applyFont="1" applyBorder="1" applyAlignment="1">
      <alignment/>
    </xf>
    <xf numFmtId="176" fontId="47" fillId="0" borderId="10" xfId="39" applyNumberFormat="1" applyFont="1" applyBorder="1" applyAlignment="1">
      <alignment/>
    </xf>
    <xf numFmtId="0" fontId="47" fillId="0" borderId="11" xfId="0" applyFont="1" applyBorder="1" applyAlignment="1">
      <alignment/>
    </xf>
    <xf numFmtId="176" fontId="47" fillId="0" borderId="11" xfId="39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34" xfId="0" applyFont="1" applyBorder="1" applyAlignment="1">
      <alignment/>
    </xf>
    <xf numFmtId="176" fontId="47" fillId="0" borderId="34" xfId="39" applyNumberFormat="1" applyFont="1" applyBorder="1" applyAlignment="1">
      <alignment/>
    </xf>
    <xf numFmtId="176" fontId="47" fillId="0" borderId="0" xfId="39" applyNumberFormat="1" applyFont="1" applyAlignment="1">
      <alignment/>
    </xf>
    <xf numFmtId="0" fontId="47" fillId="0" borderId="12" xfId="0" applyFont="1" applyBorder="1" applyAlignment="1">
      <alignment/>
    </xf>
    <xf numFmtId="14" fontId="47" fillId="0" borderId="0" xfId="0" applyNumberFormat="1" applyFont="1" applyAlignment="1">
      <alignment/>
    </xf>
    <xf numFmtId="176" fontId="47" fillId="33" borderId="14" xfId="39" applyNumberFormat="1" applyFont="1" applyFill="1" applyBorder="1" applyAlignment="1">
      <alignment/>
    </xf>
    <xf numFmtId="176" fontId="47" fillId="0" borderId="0" xfId="39" applyNumberFormat="1" applyFont="1" applyBorder="1" applyAlignment="1">
      <alignment/>
    </xf>
    <xf numFmtId="0" fontId="46" fillId="33" borderId="35" xfId="0" applyFont="1" applyFill="1" applyBorder="1" applyAlignment="1">
      <alignment/>
    </xf>
    <xf numFmtId="0" fontId="46" fillId="33" borderId="36" xfId="0" applyFont="1" applyFill="1" applyBorder="1" applyAlignment="1">
      <alignment/>
    </xf>
    <xf numFmtId="0" fontId="46" fillId="33" borderId="37" xfId="0" applyFont="1" applyFill="1" applyBorder="1" applyAlignment="1">
      <alignment/>
    </xf>
    <xf numFmtId="176" fontId="47" fillId="0" borderId="12" xfId="39" applyNumberFormat="1" applyFont="1" applyBorder="1" applyAlignment="1">
      <alignment/>
    </xf>
    <xf numFmtId="176" fontId="47" fillId="0" borderId="18" xfId="39" applyNumberFormat="1" applyFont="1" applyBorder="1" applyAlignment="1">
      <alignment/>
    </xf>
    <xf numFmtId="0" fontId="47" fillId="0" borderId="35" xfId="0" applyFont="1" applyBorder="1" applyAlignment="1">
      <alignment/>
    </xf>
    <xf numFmtId="176" fontId="47" fillId="0" borderId="36" xfId="39" applyNumberFormat="1" applyFont="1" applyBorder="1" applyAlignment="1">
      <alignment/>
    </xf>
    <xf numFmtId="176" fontId="47" fillId="0" borderId="37" xfId="39" applyNumberFormat="1" applyFont="1" applyBorder="1" applyAlignment="1">
      <alignment/>
    </xf>
    <xf numFmtId="0" fontId="44" fillId="33" borderId="38" xfId="0" applyFont="1" applyFill="1" applyBorder="1" applyAlignment="1">
      <alignment/>
    </xf>
    <xf numFmtId="176" fontId="44" fillId="0" borderId="39" xfId="39" applyNumberFormat="1" applyFont="1" applyBorder="1" applyAlignment="1">
      <alignment/>
    </xf>
    <xf numFmtId="176" fontId="44" fillId="0" borderId="40" xfId="39" applyNumberFormat="1" applyFont="1" applyBorder="1" applyAlignment="1">
      <alignment/>
    </xf>
    <xf numFmtId="176" fontId="44" fillId="0" borderId="41" xfId="39" applyNumberFormat="1" applyFont="1" applyBorder="1" applyAlignment="1">
      <alignment/>
    </xf>
    <xf numFmtId="0" fontId="43" fillId="33" borderId="42" xfId="0" applyFont="1" applyFill="1" applyBorder="1" applyAlignment="1">
      <alignment/>
    </xf>
    <xf numFmtId="0" fontId="46" fillId="0" borderId="20" xfId="0" applyFont="1" applyBorder="1" applyAlignment="1">
      <alignment/>
    </xf>
    <xf numFmtId="0" fontId="47" fillId="0" borderId="20" xfId="0" applyFont="1" applyBorder="1" applyAlignment="1">
      <alignment/>
    </xf>
    <xf numFmtId="176" fontId="47" fillId="0" borderId="20" xfId="39" applyNumberFormat="1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="40" zoomScaleNormal="40" zoomScalePageLayoutView="0" workbookViewId="0" topLeftCell="A1">
      <selection activeCell="P52" sqref="P52"/>
    </sheetView>
  </sheetViews>
  <sheetFormatPr defaultColWidth="11.421875" defaultRowHeight="15"/>
  <cols>
    <col min="1" max="1" width="8.7109375" style="28" customWidth="1"/>
    <col min="2" max="2" width="99.8515625" style="28" bestFit="1" customWidth="1"/>
    <col min="3" max="3" width="7.7109375" style="28" bestFit="1" customWidth="1"/>
    <col min="4" max="4" width="15.8515625" style="28" customWidth="1"/>
    <col min="5" max="5" width="15.421875" style="28" customWidth="1"/>
    <col min="6" max="6" width="15.7109375" style="28" customWidth="1"/>
    <col min="7" max="7" width="18.57421875" style="28" customWidth="1"/>
    <col min="8" max="8" width="18.421875" style="28" customWidth="1"/>
    <col min="9" max="9" width="17.7109375" style="28" customWidth="1"/>
    <col min="10" max="10" width="22.421875" style="28" customWidth="1"/>
    <col min="11" max="11" width="18.8515625" style="28" customWidth="1"/>
    <col min="12" max="12" width="37.7109375" style="28" bestFit="1" customWidth="1"/>
    <col min="13" max="13" width="29.7109375" style="28" customWidth="1"/>
    <col min="14" max="14" width="56.140625" style="28" customWidth="1"/>
    <col min="15" max="15" width="23.8515625" style="28" customWidth="1"/>
    <col min="16" max="16" width="25.140625" style="28" customWidth="1"/>
    <col min="17" max="17" width="16.8515625" style="28" customWidth="1"/>
    <col min="18" max="18" width="17.00390625" style="28" customWidth="1"/>
    <col min="19" max="19" width="17.57421875" style="28" customWidth="1"/>
    <col min="20" max="20" width="31.00390625" style="28" customWidth="1"/>
    <col min="21" max="16384" width="11.421875" style="28" customWidth="1"/>
  </cols>
  <sheetData>
    <row r="1" spans="1:14" ht="20.25">
      <c r="A1" s="27" t="s">
        <v>147</v>
      </c>
      <c r="N1" s="27" t="s">
        <v>141</v>
      </c>
    </row>
    <row r="2" spans="1:14" ht="20.25">
      <c r="A2" s="27" t="s">
        <v>142</v>
      </c>
      <c r="N2" s="27" t="s">
        <v>142</v>
      </c>
    </row>
    <row r="3" spans="1:14" ht="20.25">
      <c r="A3" s="27"/>
      <c r="N3" s="27"/>
    </row>
    <row r="4" spans="1:14" ht="20.25">
      <c r="A4" s="27" t="s">
        <v>94</v>
      </c>
      <c r="N4" s="27" t="s">
        <v>94</v>
      </c>
    </row>
    <row r="5" ht="21" thickBot="1">
      <c r="A5" s="27"/>
    </row>
    <row r="6" spans="1:20" ht="20.25">
      <c r="A6" s="29"/>
      <c r="B6" s="30"/>
      <c r="C6" s="30"/>
      <c r="D6" s="30"/>
      <c r="E6" s="30"/>
      <c r="F6" s="30"/>
      <c r="G6" s="30"/>
      <c r="H6" s="30"/>
      <c r="I6" s="30"/>
      <c r="J6" s="30"/>
      <c r="K6" s="31"/>
      <c r="L6" s="53"/>
      <c r="N6" s="32"/>
      <c r="O6" s="30" t="s">
        <v>58</v>
      </c>
      <c r="P6" s="30" t="s">
        <v>59</v>
      </c>
      <c r="Q6" s="30" t="s">
        <v>60</v>
      </c>
      <c r="R6" s="30" t="s">
        <v>132</v>
      </c>
      <c r="S6" s="30" t="s">
        <v>133</v>
      </c>
      <c r="T6" s="33" t="s">
        <v>134</v>
      </c>
    </row>
    <row r="7" spans="1:20" ht="20.25">
      <c r="A7" s="34"/>
      <c r="B7" s="35"/>
      <c r="C7" s="35"/>
      <c r="D7" s="35"/>
      <c r="E7" s="35" t="s">
        <v>0</v>
      </c>
      <c r="F7" s="35" t="s">
        <v>0</v>
      </c>
      <c r="G7" s="35"/>
      <c r="H7" s="35"/>
      <c r="I7" s="35" t="s">
        <v>1</v>
      </c>
      <c r="J7" s="35"/>
      <c r="K7" s="36" t="s">
        <v>100</v>
      </c>
      <c r="L7" s="54" t="s">
        <v>106</v>
      </c>
      <c r="N7" s="37"/>
      <c r="O7" s="35" t="s">
        <v>61</v>
      </c>
      <c r="P7" s="35" t="s">
        <v>62</v>
      </c>
      <c r="Q7" s="35"/>
      <c r="R7" s="35" t="s">
        <v>1</v>
      </c>
      <c r="S7" s="35" t="s">
        <v>1</v>
      </c>
      <c r="T7" s="36" t="s">
        <v>63</v>
      </c>
    </row>
    <row r="8" spans="1:20" ht="21" thickBot="1">
      <c r="A8" s="38" t="s">
        <v>2</v>
      </c>
      <c r="B8" s="39" t="s">
        <v>3</v>
      </c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9" t="s">
        <v>11</v>
      </c>
      <c r="K8" s="40" t="s">
        <v>91</v>
      </c>
      <c r="L8" s="55"/>
      <c r="N8" s="38" t="s">
        <v>64</v>
      </c>
      <c r="O8" s="39" t="s">
        <v>65</v>
      </c>
      <c r="P8" s="39" t="s">
        <v>65</v>
      </c>
      <c r="Q8" s="39" t="s">
        <v>66</v>
      </c>
      <c r="R8" s="39" t="s">
        <v>67</v>
      </c>
      <c r="S8" s="39" t="s">
        <v>68</v>
      </c>
      <c r="T8" s="40" t="s">
        <v>69</v>
      </c>
    </row>
    <row r="9" spans="1:20" ht="20.25">
      <c r="A9" s="41" t="s">
        <v>12</v>
      </c>
      <c r="B9" s="45" t="s">
        <v>13</v>
      </c>
      <c r="C9" s="41"/>
      <c r="D9" s="41"/>
      <c r="E9" s="41"/>
      <c r="F9" s="41"/>
      <c r="G9" s="41"/>
      <c r="H9" s="41"/>
      <c r="I9" s="41"/>
      <c r="J9" s="41"/>
      <c r="K9" s="49"/>
      <c r="L9" s="58"/>
      <c r="N9" s="41" t="s">
        <v>70</v>
      </c>
      <c r="O9" s="42">
        <f>G10</f>
        <v>0</v>
      </c>
      <c r="P9" s="42">
        <f>H10-Q9</f>
        <v>5000</v>
      </c>
      <c r="Q9" s="42">
        <f>K10</f>
        <v>5000</v>
      </c>
      <c r="R9" s="42">
        <f>O9+P9</f>
        <v>5000</v>
      </c>
      <c r="S9" s="42">
        <f>R9*25%</f>
        <v>1250</v>
      </c>
      <c r="T9" s="42">
        <f>R9+S9+Q9</f>
        <v>11250</v>
      </c>
    </row>
    <row r="10" spans="1:20" ht="20.25">
      <c r="A10" s="41" t="s">
        <v>14</v>
      </c>
      <c r="B10" s="41" t="s">
        <v>15</v>
      </c>
      <c r="C10" s="41" t="s">
        <v>16</v>
      </c>
      <c r="D10" s="42">
        <v>1</v>
      </c>
      <c r="E10" s="42"/>
      <c r="F10" s="42">
        <v>10000</v>
      </c>
      <c r="G10" s="42"/>
      <c r="H10" s="42">
        <f>D10*F10</f>
        <v>10000</v>
      </c>
      <c r="I10" s="42">
        <f>G10+H10</f>
        <v>10000</v>
      </c>
      <c r="J10" s="42">
        <f>I10</f>
        <v>10000</v>
      </c>
      <c r="K10" s="56">
        <v>5000</v>
      </c>
      <c r="L10" s="59"/>
      <c r="N10" s="41" t="str">
        <f>B12</f>
        <v>GRAVING/FYLLING/PLANERING</v>
      </c>
      <c r="O10" s="42">
        <f>G17</f>
        <v>6375</v>
      </c>
      <c r="P10" s="42">
        <f>H17-Q10</f>
        <v>28500</v>
      </c>
      <c r="Q10" s="42">
        <f>K17</f>
        <v>123000</v>
      </c>
      <c r="R10" s="42">
        <f>O10+P10</f>
        <v>34875</v>
      </c>
      <c r="S10" s="42">
        <f>R10*25%</f>
        <v>8718.75</v>
      </c>
      <c r="T10" s="42">
        <f>R10+S10+Q10</f>
        <v>166593.75</v>
      </c>
    </row>
    <row r="11" spans="1:20" ht="20.25">
      <c r="A11" s="41"/>
      <c r="B11" s="41"/>
      <c r="C11" s="41"/>
      <c r="D11" s="42"/>
      <c r="E11" s="42"/>
      <c r="F11" s="42"/>
      <c r="G11" s="42"/>
      <c r="H11" s="42"/>
      <c r="I11" s="42"/>
      <c r="J11" s="42"/>
      <c r="K11" s="56"/>
      <c r="L11" s="59"/>
      <c r="N11" s="41" t="str">
        <f>B19</f>
        <v>TRAPP</v>
      </c>
      <c r="O11" s="42">
        <f>G26</f>
        <v>112350</v>
      </c>
      <c r="P11" s="42">
        <f>H26-Q11</f>
        <v>24380</v>
      </c>
      <c r="Q11" s="42">
        <f>K26</f>
        <v>98000</v>
      </c>
      <c r="R11" s="42">
        <f>O11+P11</f>
        <v>136730</v>
      </c>
      <c r="S11" s="42">
        <f>R11*25%</f>
        <v>34182.5</v>
      </c>
      <c r="T11" s="42">
        <f>R11+S11+Q11</f>
        <v>268912.5</v>
      </c>
    </row>
    <row r="12" spans="1:20" ht="20.25">
      <c r="A12" s="41" t="s">
        <v>17</v>
      </c>
      <c r="B12" s="45" t="s">
        <v>18</v>
      </c>
      <c r="C12" s="41"/>
      <c r="D12" s="42"/>
      <c r="E12" s="42"/>
      <c r="F12" s="42"/>
      <c r="G12" s="42"/>
      <c r="H12" s="42"/>
      <c r="I12" s="42"/>
      <c r="J12" s="42"/>
      <c r="K12" s="56"/>
      <c r="L12" s="59"/>
      <c r="N12" s="41" t="str">
        <f>B28</f>
        <v>TRENINGS-/KVILEREPOSER</v>
      </c>
      <c r="O12" s="42">
        <f>G32</f>
        <v>26910</v>
      </c>
      <c r="P12" s="42">
        <f>H32-Q12</f>
        <v>4710</v>
      </c>
      <c r="Q12" s="42">
        <f>K32</f>
        <v>19000</v>
      </c>
      <c r="R12" s="42">
        <f>O12+P12</f>
        <v>31620</v>
      </c>
      <c r="S12" s="42">
        <f>R12*25%</f>
        <v>7905</v>
      </c>
      <c r="T12" s="42">
        <f>R12+S12+Q12</f>
        <v>58525</v>
      </c>
    </row>
    <row r="13" spans="1:20" ht="20.25">
      <c r="A13" s="41" t="s">
        <v>19</v>
      </c>
      <c r="B13" s="41" t="s">
        <v>108</v>
      </c>
      <c r="C13" s="41" t="s">
        <v>20</v>
      </c>
      <c r="D13" s="42">
        <f>150*5</f>
        <v>750</v>
      </c>
      <c r="E13" s="42"/>
      <c r="F13" s="42">
        <v>120</v>
      </c>
      <c r="G13" s="42">
        <f>D13*E13</f>
        <v>0</v>
      </c>
      <c r="H13" s="42">
        <f>D13*F13</f>
        <v>90000</v>
      </c>
      <c r="I13" s="42">
        <f>G13+H13</f>
        <v>90000</v>
      </c>
      <c r="J13" s="42"/>
      <c r="K13" s="56"/>
      <c r="L13" s="59"/>
      <c r="N13" s="43" t="s">
        <v>40</v>
      </c>
      <c r="O13" s="44">
        <f>G42</f>
        <v>147700</v>
      </c>
      <c r="P13" s="44">
        <f>H42-Q13</f>
        <v>8500</v>
      </c>
      <c r="Q13" s="44">
        <f>K42</f>
        <v>15000</v>
      </c>
      <c r="R13" s="44">
        <f>O13+P13</f>
        <v>156200</v>
      </c>
      <c r="S13" s="44">
        <f>R13*25%</f>
        <v>39050</v>
      </c>
      <c r="T13" s="44">
        <f>R13+S13+Q13</f>
        <v>210250</v>
      </c>
    </row>
    <row r="14" spans="1:20" ht="20.25">
      <c r="A14" s="41" t="s">
        <v>21</v>
      </c>
      <c r="B14" s="41" t="s">
        <v>109</v>
      </c>
      <c r="C14" s="41" t="s">
        <v>20</v>
      </c>
      <c r="D14" s="42">
        <f>150*5</f>
        <v>750</v>
      </c>
      <c r="E14" s="42"/>
      <c r="F14" s="42">
        <v>75</v>
      </c>
      <c r="G14" s="42">
        <f>D14*E14</f>
        <v>0</v>
      </c>
      <c r="H14" s="42">
        <f>D14*F14</f>
        <v>56250</v>
      </c>
      <c r="I14" s="42">
        <f>G14+H14</f>
        <v>56250</v>
      </c>
      <c r="J14" s="42"/>
      <c r="K14" s="56"/>
      <c r="L14" s="59"/>
      <c r="N14" s="45" t="s">
        <v>45</v>
      </c>
      <c r="O14" s="42">
        <f aca="true" t="shared" si="0" ref="O14:T14">SUM(O9:O13)</f>
        <v>293335</v>
      </c>
      <c r="P14" s="42">
        <f t="shared" si="0"/>
        <v>71090</v>
      </c>
      <c r="Q14" s="42">
        <f t="shared" si="0"/>
        <v>260000</v>
      </c>
      <c r="R14" s="42">
        <f t="shared" si="0"/>
        <v>364425</v>
      </c>
      <c r="S14" s="42">
        <f t="shared" si="0"/>
        <v>91106.25</v>
      </c>
      <c r="T14" s="42">
        <f t="shared" si="0"/>
        <v>715531.25</v>
      </c>
    </row>
    <row r="15" spans="1:20" ht="20.25">
      <c r="A15" s="41" t="s">
        <v>22</v>
      </c>
      <c r="B15" s="41" t="s">
        <v>110</v>
      </c>
      <c r="C15" s="41" t="s">
        <v>20</v>
      </c>
      <c r="D15" s="42">
        <f>150*4</f>
        <v>600</v>
      </c>
      <c r="E15" s="42">
        <v>5</v>
      </c>
      <c r="F15" s="42">
        <v>5</v>
      </c>
      <c r="G15" s="42">
        <f>D15*E15</f>
        <v>3000</v>
      </c>
      <c r="H15" s="42">
        <f>D15*F15</f>
        <v>3000</v>
      </c>
      <c r="I15" s="42">
        <f>G15+H15</f>
        <v>6000</v>
      </c>
      <c r="J15" s="42"/>
      <c r="K15" s="56"/>
      <c r="L15" s="59"/>
      <c r="N15" s="41" t="s">
        <v>71</v>
      </c>
      <c r="O15" s="41"/>
      <c r="P15" s="41"/>
      <c r="Q15" s="41"/>
      <c r="R15" s="41"/>
      <c r="S15" s="41"/>
      <c r="T15" s="41"/>
    </row>
    <row r="16" spans="1:20" ht="20.25">
      <c r="A16" s="41" t="s">
        <v>23</v>
      </c>
      <c r="B16" s="43" t="s">
        <v>111</v>
      </c>
      <c r="C16" s="43" t="s">
        <v>20</v>
      </c>
      <c r="D16" s="44">
        <f>150*1.5</f>
        <v>225</v>
      </c>
      <c r="E16" s="44">
        <v>15</v>
      </c>
      <c r="F16" s="44">
        <v>10</v>
      </c>
      <c r="G16" s="44">
        <f>D16*E16</f>
        <v>3375</v>
      </c>
      <c r="H16" s="44">
        <f>D16*F16</f>
        <v>2250</v>
      </c>
      <c r="I16" s="44">
        <f>G16+H16</f>
        <v>5625</v>
      </c>
      <c r="J16" s="42"/>
      <c r="K16" s="56"/>
      <c r="L16" s="59"/>
      <c r="N16" s="41" t="s">
        <v>130</v>
      </c>
      <c r="O16" s="42">
        <v>0</v>
      </c>
      <c r="P16" s="42">
        <f>H45-Q16</f>
        <v>0.25</v>
      </c>
      <c r="Q16" s="42">
        <f>K45</f>
        <v>31000</v>
      </c>
      <c r="R16" s="42">
        <f>P16</f>
        <v>0.25</v>
      </c>
      <c r="S16" s="42">
        <f>R16*25%</f>
        <v>0.0625</v>
      </c>
      <c r="T16" s="42">
        <f>R16+S16+Q16</f>
        <v>31000.3125</v>
      </c>
    </row>
    <row r="17" spans="1:20" ht="20.25">
      <c r="A17" s="41"/>
      <c r="B17" s="45" t="s">
        <v>24</v>
      </c>
      <c r="C17" s="41"/>
      <c r="D17" s="42"/>
      <c r="E17" s="42"/>
      <c r="F17" s="42"/>
      <c r="G17" s="42">
        <f>SUM(G13:G16)</f>
        <v>6375</v>
      </c>
      <c r="H17" s="42">
        <f>SUM(H13:H16)</f>
        <v>151500</v>
      </c>
      <c r="I17" s="42">
        <f>SUM(I13:I16)</f>
        <v>157875</v>
      </c>
      <c r="J17" s="42">
        <f>I17</f>
        <v>157875</v>
      </c>
      <c r="K17" s="56">
        <f>H13+H15+H16+H14/2-375</f>
        <v>123000</v>
      </c>
      <c r="L17" s="59"/>
      <c r="N17" s="41" t="s">
        <v>131</v>
      </c>
      <c r="O17" s="42">
        <f>G46</f>
        <v>0</v>
      </c>
      <c r="P17" s="42">
        <f>H46-Q17</f>
        <v>31999.5</v>
      </c>
      <c r="Q17" s="42">
        <f>K46</f>
        <v>30000</v>
      </c>
      <c r="R17" s="42">
        <f>O17+P17</f>
        <v>31999.5</v>
      </c>
      <c r="S17" s="42">
        <f>R17*25%</f>
        <v>7999.875</v>
      </c>
      <c r="T17" s="42"/>
    </row>
    <row r="18" spans="1:20" ht="20.25">
      <c r="A18" s="41"/>
      <c r="B18" s="41"/>
      <c r="C18" s="41"/>
      <c r="D18" s="42"/>
      <c r="E18" s="42"/>
      <c r="F18" s="42"/>
      <c r="G18" s="42"/>
      <c r="H18" s="42"/>
      <c r="I18" s="42"/>
      <c r="J18" s="42"/>
      <c r="K18" s="56"/>
      <c r="L18" s="59"/>
      <c r="N18" s="41" t="s">
        <v>72</v>
      </c>
      <c r="O18" s="42"/>
      <c r="P18" s="42">
        <v>0</v>
      </c>
      <c r="Q18" s="42"/>
      <c r="R18" s="42">
        <f>J49-1</f>
        <v>2729.9385416666664</v>
      </c>
      <c r="S18" s="42">
        <v>0</v>
      </c>
      <c r="T18" s="42">
        <f>R18-Q18</f>
        <v>2729.9385416666664</v>
      </c>
    </row>
    <row r="19" spans="1:20" ht="20.25">
      <c r="A19" s="41" t="s">
        <v>25</v>
      </c>
      <c r="B19" s="45" t="s">
        <v>112</v>
      </c>
      <c r="C19" s="41"/>
      <c r="D19" s="42"/>
      <c r="E19" s="42"/>
      <c r="F19" s="42"/>
      <c r="G19" s="42"/>
      <c r="H19" s="42"/>
      <c r="I19" s="42"/>
      <c r="J19" s="42"/>
      <c r="K19" s="56"/>
      <c r="L19" s="59"/>
      <c r="N19" s="43" t="s">
        <v>73</v>
      </c>
      <c r="O19" s="44"/>
      <c r="P19" s="44">
        <v>0</v>
      </c>
      <c r="Q19" s="44">
        <v>0</v>
      </c>
      <c r="R19" s="44">
        <f>J51</f>
        <v>44200.60005208334</v>
      </c>
      <c r="S19" s="44">
        <v>0</v>
      </c>
      <c r="T19" s="44">
        <f>R19+S19</f>
        <v>44200.60005208334</v>
      </c>
    </row>
    <row r="20" spans="1:20" ht="20.25">
      <c r="A20" s="41" t="s">
        <v>26</v>
      </c>
      <c r="B20" s="41" t="s">
        <v>113</v>
      </c>
      <c r="C20" s="41" t="s">
        <v>27</v>
      </c>
      <c r="D20" s="42">
        <f>140*2</f>
        <v>280</v>
      </c>
      <c r="E20" s="42">
        <v>45</v>
      </c>
      <c r="F20" s="42">
        <v>60</v>
      </c>
      <c r="G20" s="42">
        <f aca="true" t="shared" si="1" ref="G20:G25">D20*E20</f>
        <v>12600</v>
      </c>
      <c r="H20" s="42">
        <f aca="true" t="shared" si="2" ref="H20:H25">D20*F20</f>
        <v>16800</v>
      </c>
      <c r="I20" s="42">
        <f aca="true" t="shared" si="3" ref="I20:I25">G20+H20</f>
        <v>29400</v>
      </c>
      <c r="J20" s="42"/>
      <c r="K20" s="56"/>
      <c r="L20" s="59"/>
      <c r="N20" s="46" t="s">
        <v>55</v>
      </c>
      <c r="O20" s="47">
        <f aca="true" t="shared" si="4" ref="O20:T20">SUM(O14:O19)</f>
        <v>293335</v>
      </c>
      <c r="P20" s="47">
        <f t="shared" si="4"/>
        <v>103089.75</v>
      </c>
      <c r="Q20" s="47">
        <f t="shared" si="4"/>
        <v>321000</v>
      </c>
      <c r="R20" s="47">
        <f t="shared" si="4"/>
        <v>443355.28859375</v>
      </c>
      <c r="S20" s="47">
        <f t="shared" si="4"/>
        <v>99106.1875</v>
      </c>
      <c r="T20" s="47">
        <f t="shared" si="4"/>
        <v>793462.1010937501</v>
      </c>
    </row>
    <row r="21" spans="1:20" ht="20.25">
      <c r="A21" s="41" t="s">
        <v>28</v>
      </c>
      <c r="B21" s="41" t="s">
        <v>114</v>
      </c>
      <c r="C21" s="41" t="s">
        <v>30</v>
      </c>
      <c r="D21" s="42">
        <f>(135/2.5+1)*2</f>
        <v>110</v>
      </c>
      <c r="E21" s="42">
        <v>50</v>
      </c>
      <c r="F21" s="42">
        <v>50</v>
      </c>
      <c r="G21" s="42">
        <f t="shared" si="1"/>
        <v>5500</v>
      </c>
      <c r="H21" s="42">
        <f t="shared" si="2"/>
        <v>5500</v>
      </c>
      <c r="I21" s="42">
        <f t="shared" si="3"/>
        <v>11000</v>
      </c>
      <c r="J21" s="42"/>
      <c r="K21" s="56"/>
      <c r="L21" s="59"/>
      <c r="N21" s="28" t="s">
        <v>74</v>
      </c>
      <c r="O21" s="48"/>
      <c r="P21" s="48"/>
      <c r="Q21" s="48"/>
      <c r="R21" s="48"/>
      <c r="S21" s="48"/>
      <c r="T21" s="48">
        <f>T20</f>
        <v>793462.1010937501</v>
      </c>
    </row>
    <row r="22" spans="1:12" ht="21" thickBot="1">
      <c r="A22" s="41" t="s">
        <v>29</v>
      </c>
      <c r="B22" s="41" t="s">
        <v>115</v>
      </c>
      <c r="C22" s="41" t="s">
        <v>30</v>
      </c>
      <c r="D22" s="42">
        <v>260</v>
      </c>
      <c r="E22" s="42">
        <f>50*1.5*2</f>
        <v>150</v>
      </c>
      <c r="F22" s="42">
        <f>600/4</f>
        <v>150</v>
      </c>
      <c r="G22" s="42">
        <f t="shared" si="1"/>
        <v>39000</v>
      </c>
      <c r="H22" s="42">
        <f t="shared" si="2"/>
        <v>39000</v>
      </c>
      <c r="I22" s="42">
        <f t="shared" si="3"/>
        <v>78000</v>
      </c>
      <c r="J22" s="42"/>
      <c r="K22" s="56"/>
      <c r="L22" s="59"/>
    </row>
    <row r="23" spans="1:20" ht="21" thickBot="1">
      <c r="A23" s="41" t="s">
        <v>31</v>
      </c>
      <c r="B23" s="41" t="s">
        <v>140</v>
      </c>
      <c r="C23" s="41" t="s">
        <v>30</v>
      </c>
      <c r="D23" s="42">
        <v>260</v>
      </c>
      <c r="E23" s="42">
        <f>1.5*100</f>
        <v>150</v>
      </c>
      <c r="F23" s="42">
        <f>600/10</f>
        <v>60</v>
      </c>
      <c r="G23" s="42">
        <f t="shared" si="1"/>
        <v>39000</v>
      </c>
      <c r="H23" s="42">
        <f t="shared" si="2"/>
        <v>15600</v>
      </c>
      <c r="I23" s="42">
        <f t="shared" si="3"/>
        <v>54600</v>
      </c>
      <c r="J23" s="42"/>
      <c r="K23" s="56"/>
      <c r="L23" s="59"/>
      <c r="N23" s="28" t="s">
        <v>135</v>
      </c>
      <c r="T23" s="51">
        <f>T21/2+269</f>
        <v>397000.05054687505</v>
      </c>
    </row>
    <row r="24" spans="1:12" ht="20.25">
      <c r="A24" s="41" t="s">
        <v>32</v>
      </c>
      <c r="B24" s="41" t="s">
        <v>116</v>
      </c>
      <c r="C24" s="41" t="s">
        <v>30</v>
      </c>
      <c r="D24" s="42">
        <f>(135/1.25+1)*2</f>
        <v>218</v>
      </c>
      <c r="E24" s="42">
        <v>25</v>
      </c>
      <c r="F24" s="42">
        <f>600/10</f>
        <v>60</v>
      </c>
      <c r="G24" s="42">
        <f t="shared" si="1"/>
        <v>5450</v>
      </c>
      <c r="H24" s="42">
        <f t="shared" si="2"/>
        <v>13080</v>
      </c>
      <c r="I24" s="42">
        <f t="shared" si="3"/>
        <v>18530</v>
      </c>
      <c r="J24" s="42"/>
      <c r="K24" s="56"/>
      <c r="L24" s="59"/>
    </row>
    <row r="25" spans="1:14" ht="20.25">
      <c r="A25" s="41" t="s">
        <v>33</v>
      </c>
      <c r="B25" s="43" t="s">
        <v>117</v>
      </c>
      <c r="C25" s="43" t="s">
        <v>27</v>
      </c>
      <c r="D25" s="44">
        <f>135*2*2</f>
        <v>540</v>
      </c>
      <c r="E25" s="44">
        <v>20</v>
      </c>
      <c r="F25" s="44">
        <v>60</v>
      </c>
      <c r="G25" s="44">
        <f t="shared" si="1"/>
        <v>10800</v>
      </c>
      <c r="H25" s="44">
        <f t="shared" si="2"/>
        <v>32400</v>
      </c>
      <c r="I25" s="44">
        <f t="shared" si="3"/>
        <v>43200</v>
      </c>
      <c r="J25" s="42"/>
      <c r="K25" s="56"/>
      <c r="L25" s="59"/>
      <c r="N25" s="50" t="str">
        <f>B56</f>
        <v>xxxxx 06.09.2018</v>
      </c>
    </row>
    <row r="26" spans="1:14" ht="20.25">
      <c r="A26" s="41"/>
      <c r="B26" s="45" t="s">
        <v>118</v>
      </c>
      <c r="C26" s="41"/>
      <c r="D26" s="42"/>
      <c r="E26" s="42"/>
      <c r="F26" s="42"/>
      <c r="G26" s="42">
        <f>SUM(G20:G25)</f>
        <v>112350</v>
      </c>
      <c r="H26" s="42">
        <f>SUM(H20:H25)</f>
        <v>122380</v>
      </c>
      <c r="I26" s="42">
        <f>SUM(I20:I25)</f>
        <v>234730</v>
      </c>
      <c r="J26" s="42">
        <f>I26</f>
        <v>234730</v>
      </c>
      <c r="K26" s="56">
        <f>H26*80%+96</f>
        <v>98000</v>
      </c>
      <c r="L26" s="59"/>
      <c r="N26" s="28" t="s">
        <v>34</v>
      </c>
    </row>
    <row r="27" spans="1:14" ht="20.2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56"/>
      <c r="L27" s="59"/>
      <c r="N27" s="28" t="s">
        <v>102</v>
      </c>
    </row>
    <row r="28" spans="1:18" ht="20.25">
      <c r="A28" s="41" t="s">
        <v>35</v>
      </c>
      <c r="B28" s="45" t="s">
        <v>127</v>
      </c>
      <c r="C28" s="41"/>
      <c r="D28" s="42"/>
      <c r="E28" s="42"/>
      <c r="F28" s="42"/>
      <c r="G28" s="42"/>
      <c r="H28" s="42"/>
      <c r="I28" s="42"/>
      <c r="J28" s="42"/>
      <c r="K28" s="56"/>
      <c r="L28" s="59"/>
      <c r="N28" s="28" t="s">
        <v>101</v>
      </c>
      <c r="R28" s="28" t="s">
        <v>93</v>
      </c>
    </row>
    <row r="29" spans="1:18" ht="20.25">
      <c r="A29" s="41" t="s">
        <v>36</v>
      </c>
      <c r="B29" s="41" t="s">
        <v>119</v>
      </c>
      <c r="C29" s="41" t="s">
        <v>30</v>
      </c>
      <c r="D29" s="42">
        <v>4</v>
      </c>
      <c r="E29" s="42">
        <v>3750</v>
      </c>
      <c r="F29" s="42">
        <v>3750</v>
      </c>
      <c r="G29" s="42">
        <f>D29*E29</f>
        <v>15000</v>
      </c>
      <c r="H29" s="42">
        <f>D29*F29</f>
        <v>15000</v>
      </c>
      <c r="I29" s="42">
        <f>G29+H29</f>
        <v>30000</v>
      </c>
      <c r="J29" s="42"/>
      <c r="K29" s="56"/>
      <c r="L29" s="59"/>
      <c r="R29" s="28" t="s">
        <v>139</v>
      </c>
    </row>
    <row r="30" spans="1:12" ht="20.25">
      <c r="A30" s="41" t="s">
        <v>37</v>
      </c>
      <c r="B30" s="41" t="s">
        <v>120</v>
      </c>
      <c r="C30" s="41" t="s">
        <v>30</v>
      </c>
      <c r="D30" s="42">
        <v>8</v>
      </c>
      <c r="E30" s="42">
        <v>1000</v>
      </c>
      <c r="F30" s="42">
        <v>600</v>
      </c>
      <c r="G30" s="42">
        <f>D30*E30</f>
        <v>8000</v>
      </c>
      <c r="H30" s="42">
        <f>D30*F30</f>
        <v>4800</v>
      </c>
      <c r="I30" s="42">
        <f>G30+H30</f>
        <v>12800</v>
      </c>
      <c r="J30" s="42"/>
      <c r="K30" s="56"/>
      <c r="L30" s="59"/>
    </row>
    <row r="31" spans="1:12" ht="20.25">
      <c r="A31" s="41" t="s">
        <v>38</v>
      </c>
      <c r="B31" s="43" t="s">
        <v>121</v>
      </c>
      <c r="C31" s="43" t="s">
        <v>27</v>
      </c>
      <c r="D31" s="44">
        <f>(3+3+2.5)*4</f>
        <v>34</v>
      </c>
      <c r="E31" s="44">
        <v>115</v>
      </c>
      <c r="F31" s="44">
        <v>115</v>
      </c>
      <c r="G31" s="44">
        <f>D31*E31</f>
        <v>3910</v>
      </c>
      <c r="H31" s="44">
        <f>D31*F31</f>
        <v>3910</v>
      </c>
      <c r="I31" s="44">
        <f>G31+H31</f>
        <v>7820</v>
      </c>
      <c r="J31" s="42"/>
      <c r="K31" s="56"/>
      <c r="L31" s="59"/>
    </row>
    <row r="32" spans="1:12" ht="20.25">
      <c r="A32" s="41"/>
      <c r="B32" s="45" t="s">
        <v>126</v>
      </c>
      <c r="C32" s="41"/>
      <c r="D32" s="42"/>
      <c r="E32" s="42"/>
      <c r="F32" s="42"/>
      <c r="G32" s="42">
        <f>SUM(G29:G31)</f>
        <v>26910</v>
      </c>
      <c r="H32" s="42">
        <f>SUM(H29:H31)</f>
        <v>23710</v>
      </c>
      <c r="I32" s="42">
        <f>SUM(I29:I31)</f>
        <v>50620</v>
      </c>
      <c r="J32" s="42">
        <f>I32</f>
        <v>50620</v>
      </c>
      <c r="K32" s="56">
        <f>H32*80%+32</f>
        <v>19000</v>
      </c>
      <c r="L32" s="59"/>
    </row>
    <row r="33" spans="1:12" ht="20.2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56"/>
      <c r="L33" s="59"/>
    </row>
    <row r="34" spans="1:12" ht="20.2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56"/>
      <c r="L34" s="59"/>
    </row>
    <row r="35" spans="1:12" ht="20.25">
      <c r="A35" s="41" t="s">
        <v>39</v>
      </c>
      <c r="B35" s="45" t="s">
        <v>40</v>
      </c>
      <c r="C35" s="41"/>
      <c r="D35" s="42"/>
      <c r="E35" s="42"/>
      <c r="F35" s="42"/>
      <c r="G35" s="42"/>
      <c r="H35" s="42"/>
      <c r="I35" s="42"/>
      <c r="J35" s="42"/>
      <c r="K35" s="56"/>
      <c r="L35" s="59"/>
    </row>
    <row r="36" spans="1:12" ht="20.25">
      <c r="A36" s="41" t="s">
        <v>41</v>
      </c>
      <c r="B36" s="41" t="s">
        <v>42</v>
      </c>
      <c r="C36" s="41"/>
      <c r="D36" s="42"/>
      <c r="E36" s="42"/>
      <c r="F36" s="42"/>
      <c r="G36" s="42"/>
      <c r="H36" s="42"/>
      <c r="I36" s="42"/>
      <c r="J36" s="42"/>
      <c r="K36" s="56"/>
      <c r="L36" s="59"/>
    </row>
    <row r="37" spans="1:12" ht="20.25">
      <c r="A37" s="41"/>
      <c r="B37" s="41" t="s">
        <v>124</v>
      </c>
      <c r="C37" s="41" t="s">
        <v>30</v>
      </c>
      <c r="D37" s="42">
        <v>1</v>
      </c>
      <c r="E37" s="42">
        <v>4000</v>
      </c>
      <c r="F37" s="42">
        <v>0</v>
      </c>
      <c r="G37" s="42">
        <f>D37*E37</f>
        <v>4000</v>
      </c>
      <c r="H37" s="42">
        <f>D37*F37</f>
        <v>0</v>
      </c>
      <c r="I37" s="42">
        <f>G37+H37</f>
        <v>4000</v>
      </c>
      <c r="J37" s="42"/>
      <c r="K37" s="56"/>
      <c r="L37" s="59"/>
    </row>
    <row r="38" spans="1:12" ht="20.25">
      <c r="A38" s="41"/>
      <c r="B38" s="41" t="s">
        <v>123</v>
      </c>
      <c r="C38" s="41" t="s">
        <v>27</v>
      </c>
      <c r="D38" s="42">
        <v>10</v>
      </c>
      <c r="E38" s="42">
        <v>80</v>
      </c>
      <c r="F38" s="42">
        <v>10</v>
      </c>
      <c r="G38" s="42">
        <f>D38*E38</f>
        <v>800</v>
      </c>
      <c r="H38" s="42">
        <f>D38*F38</f>
        <v>100</v>
      </c>
      <c r="I38" s="42">
        <f>G38+H38</f>
        <v>900</v>
      </c>
      <c r="J38" s="42"/>
      <c r="K38" s="56"/>
      <c r="L38" s="59"/>
    </row>
    <row r="39" spans="1:12" ht="20.25">
      <c r="A39" s="41"/>
      <c r="B39" s="41" t="s">
        <v>122</v>
      </c>
      <c r="C39" s="41" t="s">
        <v>27</v>
      </c>
      <c r="D39" s="42">
        <f>100+140</f>
        <v>240</v>
      </c>
      <c r="E39" s="42">
        <v>60</v>
      </c>
      <c r="F39" s="42">
        <v>10</v>
      </c>
      <c r="G39" s="42">
        <f>D39*E39</f>
        <v>14400</v>
      </c>
      <c r="H39" s="42">
        <f>D39*F39</f>
        <v>2400</v>
      </c>
      <c r="I39" s="42">
        <f>G39+H39</f>
        <v>16800</v>
      </c>
      <c r="J39" s="42"/>
      <c r="K39" s="56"/>
      <c r="L39" s="59"/>
    </row>
    <row r="40" spans="1:12" ht="20.25">
      <c r="A40" s="41"/>
      <c r="B40" s="41" t="s">
        <v>43</v>
      </c>
      <c r="C40" s="41" t="s">
        <v>16</v>
      </c>
      <c r="D40" s="42">
        <v>1</v>
      </c>
      <c r="E40" s="42">
        <v>8500</v>
      </c>
      <c r="F40" s="42">
        <v>1000</v>
      </c>
      <c r="G40" s="42">
        <f>D40*E40</f>
        <v>8500</v>
      </c>
      <c r="H40" s="42">
        <f>D40*F40</f>
        <v>1000</v>
      </c>
      <c r="I40" s="42">
        <f>G40+H40</f>
        <v>9500</v>
      </c>
      <c r="J40" s="42"/>
      <c r="K40" s="56"/>
      <c r="L40" s="59"/>
    </row>
    <row r="41" spans="1:12" ht="20.25">
      <c r="A41" s="41"/>
      <c r="B41" s="43" t="s">
        <v>125</v>
      </c>
      <c r="C41" s="43" t="s">
        <v>30</v>
      </c>
      <c r="D41" s="44">
        <v>8</v>
      </c>
      <c r="E41" s="44">
        <v>15000</v>
      </c>
      <c r="F41" s="44">
        <v>2500</v>
      </c>
      <c r="G41" s="44">
        <f>D41*E41</f>
        <v>120000</v>
      </c>
      <c r="H41" s="44">
        <f>D41*F41</f>
        <v>20000</v>
      </c>
      <c r="I41" s="44">
        <f>G41+H41</f>
        <v>140000</v>
      </c>
      <c r="J41" s="42"/>
      <c r="K41" s="56"/>
      <c r="L41" s="59"/>
    </row>
    <row r="42" spans="1:12" ht="21" thickBot="1">
      <c r="A42" s="41"/>
      <c r="B42" s="66" t="s">
        <v>44</v>
      </c>
      <c r="C42" s="67"/>
      <c r="D42" s="68"/>
      <c r="E42" s="68"/>
      <c r="F42" s="68"/>
      <c r="G42" s="68">
        <f>SUM(G37:G41)</f>
        <v>147700</v>
      </c>
      <c r="H42" s="68">
        <f>SUM(H37:H41)</f>
        <v>23500</v>
      </c>
      <c r="I42" s="68">
        <f>SUM(I37:I41)</f>
        <v>171200</v>
      </c>
      <c r="J42" s="68">
        <f>I42</f>
        <v>171200</v>
      </c>
      <c r="K42" s="56">
        <v>15000</v>
      </c>
      <c r="L42" s="59"/>
    </row>
    <row r="43" spans="1:12" ht="20.25">
      <c r="A43" s="49"/>
      <c r="B43" s="45" t="s">
        <v>45</v>
      </c>
      <c r="C43" s="41"/>
      <c r="D43" s="42"/>
      <c r="E43" s="42"/>
      <c r="F43" s="42"/>
      <c r="G43" s="42">
        <f>G42+G32+G26+G17+G10</f>
        <v>293335</v>
      </c>
      <c r="H43" s="42">
        <f>H42+H32+H26+H17+H10</f>
        <v>331090</v>
      </c>
      <c r="I43" s="42"/>
      <c r="J43" s="42">
        <f>SUM(J9:J42)</f>
        <v>624425</v>
      </c>
      <c r="K43" s="52"/>
      <c r="L43" s="59"/>
    </row>
    <row r="44" spans="1:12" ht="20.25">
      <c r="A44" s="41" t="s">
        <v>46</v>
      </c>
      <c r="B44" s="41" t="s">
        <v>105</v>
      </c>
      <c r="C44" s="41"/>
      <c r="D44" s="42"/>
      <c r="E44" s="42"/>
      <c r="F44" s="42"/>
      <c r="G44" s="42"/>
      <c r="H44" s="41"/>
      <c r="I44" s="41"/>
      <c r="J44" s="41"/>
      <c r="L44" s="59"/>
    </row>
    <row r="45" spans="1:12" ht="20.25">
      <c r="A45" s="41"/>
      <c r="B45" s="41" t="s">
        <v>128</v>
      </c>
      <c r="C45" s="41" t="s">
        <v>16</v>
      </c>
      <c r="D45" s="42"/>
      <c r="E45" s="42"/>
      <c r="F45" s="42"/>
      <c r="G45" s="42"/>
      <c r="H45" s="42">
        <f>J43*5%-221</f>
        <v>31000.25</v>
      </c>
      <c r="I45" s="42"/>
      <c r="J45" s="42">
        <f>H45</f>
        <v>31000.25</v>
      </c>
      <c r="K45" s="56">
        <v>31000</v>
      </c>
      <c r="L45" s="59"/>
    </row>
    <row r="46" spans="1:12" ht="20.25">
      <c r="A46" s="41"/>
      <c r="B46" s="41" t="s">
        <v>129</v>
      </c>
      <c r="C46" s="41" t="s">
        <v>16</v>
      </c>
      <c r="D46" s="42"/>
      <c r="E46" s="42"/>
      <c r="F46" s="42"/>
      <c r="G46" s="42"/>
      <c r="H46" s="42">
        <f>J43*10%-443</f>
        <v>61999.5</v>
      </c>
      <c r="I46" s="42"/>
      <c r="J46" s="42">
        <f>H46</f>
        <v>61999.5</v>
      </c>
      <c r="K46" s="56">
        <v>30000</v>
      </c>
      <c r="L46" s="59"/>
    </row>
    <row r="47" spans="1:12" ht="20.25">
      <c r="A47" s="41" t="s">
        <v>47</v>
      </c>
      <c r="B47" s="41" t="s">
        <v>48</v>
      </c>
      <c r="C47" s="41"/>
      <c r="D47" s="42"/>
      <c r="E47" s="42"/>
      <c r="F47" s="42"/>
      <c r="G47" s="42"/>
      <c r="H47" s="42"/>
      <c r="I47" s="42"/>
      <c r="J47" s="42"/>
      <c r="K47" s="56"/>
      <c r="L47" s="59"/>
    </row>
    <row r="48" spans="1:12" ht="20.25">
      <c r="A48" s="41" t="s">
        <v>49</v>
      </c>
      <c r="B48" s="41" t="s">
        <v>90</v>
      </c>
      <c r="C48" s="41"/>
      <c r="D48" s="42"/>
      <c r="E48" s="42"/>
      <c r="F48" s="42"/>
      <c r="G48" s="42"/>
      <c r="H48" s="42"/>
      <c r="I48" s="42"/>
      <c r="J48" s="42">
        <f>(J43+J45+J47)*25%</f>
        <v>163856.3125</v>
      </c>
      <c r="K48" s="56"/>
      <c r="L48" s="59"/>
    </row>
    <row r="49" spans="1:12" ht="20.25">
      <c r="A49" s="41" t="s">
        <v>50</v>
      </c>
      <c r="B49" s="43" t="s">
        <v>51</v>
      </c>
      <c r="C49" s="43"/>
      <c r="D49" s="44"/>
      <c r="E49" s="44"/>
      <c r="F49" s="44"/>
      <c r="G49" s="44"/>
      <c r="H49" s="44"/>
      <c r="I49" s="44"/>
      <c r="J49" s="44">
        <f>((((J43+J45+J48)*0.5)*4%)/12)*2</f>
        <v>2730.9385416666664</v>
      </c>
      <c r="K49" s="56"/>
      <c r="L49" s="59"/>
    </row>
    <row r="50" spans="1:12" ht="20.25">
      <c r="A50" s="41"/>
      <c r="B50" s="45" t="s">
        <v>52</v>
      </c>
      <c r="C50" s="41"/>
      <c r="D50" s="42"/>
      <c r="E50" s="42"/>
      <c r="F50" s="42"/>
      <c r="G50" s="42">
        <f>G43</f>
        <v>293335</v>
      </c>
      <c r="H50" s="42">
        <f>SUM(H43:H49)</f>
        <v>424089.75</v>
      </c>
      <c r="I50" s="42"/>
      <c r="J50" s="42">
        <f>SUM(J43:J49)</f>
        <v>884012.0010416667</v>
      </c>
      <c r="K50" s="56"/>
      <c r="L50" s="59"/>
    </row>
    <row r="51" spans="1:12" ht="21" thickBot="1">
      <c r="A51" s="41" t="s">
        <v>53</v>
      </c>
      <c r="B51" s="43" t="s">
        <v>54</v>
      </c>
      <c r="C51" s="43" t="s">
        <v>16</v>
      </c>
      <c r="D51" s="44">
        <v>1</v>
      </c>
      <c r="E51" s="44"/>
      <c r="F51" s="44"/>
      <c r="G51" s="44"/>
      <c r="H51" s="44"/>
      <c r="I51" s="44">
        <v>0</v>
      </c>
      <c r="J51" s="44">
        <f>J50*5%</f>
        <v>44200.60005208334</v>
      </c>
      <c r="K51" s="57"/>
      <c r="L51" s="60"/>
    </row>
    <row r="52" spans="2:12" ht="20.25">
      <c r="B52" s="27" t="s">
        <v>55</v>
      </c>
      <c r="D52" s="48"/>
      <c r="E52" s="48"/>
      <c r="F52" s="48"/>
      <c r="G52" s="48"/>
      <c r="H52" s="48"/>
      <c r="I52" s="48"/>
      <c r="J52" s="48">
        <f>SUM(J50:J51)</f>
        <v>928212.6010937501</v>
      </c>
      <c r="K52" s="48">
        <f>SUM(K9:K51)</f>
        <v>321000</v>
      </c>
      <c r="L52" s="48"/>
    </row>
    <row r="54" ht="20.25">
      <c r="B54" s="28" t="s">
        <v>56</v>
      </c>
    </row>
    <row r="56" ht="20.25">
      <c r="B56" s="50" t="s">
        <v>146</v>
      </c>
    </row>
    <row r="57" ht="20.25">
      <c r="B57" s="28" t="s">
        <v>34</v>
      </c>
    </row>
    <row r="58" ht="20.25">
      <c r="B58" s="28" t="s">
        <v>137</v>
      </c>
    </row>
    <row r="59" spans="2:4" ht="20.25">
      <c r="B59" s="28" t="s">
        <v>101</v>
      </c>
      <c r="D59" s="28" t="s">
        <v>93</v>
      </c>
    </row>
    <row r="60" ht="20.25">
      <c r="D60" s="28" t="s"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="70" zoomScaleNormal="70" zoomScalePageLayoutView="0" workbookViewId="0" topLeftCell="A1">
      <selection activeCell="L32" sqref="L32"/>
    </sheetView>
  </sheetViews>
  <sheetFormatPr defaultColWidth="11.421875" defaultRowHeight="15"/>
  <cols>
    <col min="1" max="1" width="54.421875" style="0" bestFit="1" customWidth="1"/>
    <col min="3" max="3" width="11.7109375" style="0" bestFit="1" customWidth="1"/>
    <col min="4" max="4" width="62.00390625" style="0" customWidth="1"/>
    <col min="5" max="5" width="29.57421875" style="0" bestFit="1" customWidth="1"/>
    <col min="9" max="9" width="3.8515625" style="0" customWidth="1"/>
  </cols>
  <sheetData>
    <row r="1" spans="1:2" ht="20.25">
      <c r="A1" s="27" t="s">
        <v>141</v>
      </c>
      <c r="B1" s="28"/>
    </row>
    <row r="2" spans="1:8" ht="20.25">
      <c r="A2" s="27" t="s">
        <v>142</v>
      </c>
      <c r="B2" s="28"/>
      <c r="C2" s="4"/>
      <c r="D2" s="4"/>
      <c r="E2" s="4"/>
      <c r="F2" s="4"/>
      <c r="G2" s="4"/>
      <c r="H2" s="4"/>
    </row>
    <row r="3" spans="1:8" ht="20.25">
      <c r="A3" s="27"/>
      <c r="B3" s="28"/>
      <c r="C3" s="4"/>
      <c r="D3" s="4"/>
      <c r="E3" s="4"/>
      <c r="F3" s="4"/>
      <c r="G3" s="4"/>
      <c r="H3" s="4"/>
    </row>
    <row r="4" spans="1:8" ht="20.25">
      <c r="A4" s="27" t="s">
        <v>94</v>
      </c>
      <c r="B4" s="28"/>
      <c r="C4" s="4"/>
      <c r="D4" s="4"/>
      <c r="E4" s="4"/>
      <c r="F4" s="4"/>
      <c r="G4" s="4"/>
      <c r="H4" s="4"/>
    </row>
    <row r="5" spans="1:8" ht="21.75" thickBot="1">
      <c r="A5" s="2"/>
      <c r="B5" s="4"/>
      <c r="C5" s="4"/>
      <c r="D5" s="4"/>
      <c r="E5" s="4"/>
      <c r="F5" s="4"/>
      <c r="G5" s="4"/>
      <c r="H5" s="4"/>
    </row>
    <row r="6" spans="1:5" ht="16.5" thickBot="1">
      <c r="A6" s="65" t="s">
        <v>3</v>
      </c>
      <c r="B6" s="22"/>
      <c r="C6" s="23" t="s">
        <v>1</v>
      </c>
      <c r="D6" s="22" t="s">
        <v>99</v>
      </c>
      <c r="E6" s="61"/>
    </row>
    <row r="7" spans="1:5" ht="15.75">
      <c r="A7" s="18" t="s">
        <v>75</v>
      </c>
      <c r="B7" s="16"/>
      <c r="C7" s="20">
        <v>75462</v>
      </c>
      <c r="D7" s="4" t="s">
        <v>92</v>
      </c>
      <c r="E7" s="62"/>
    </row>
    <row r="8" spans="1:5" ht="15.75">
      <c r="A8" s="9" t="s">
        <v>66</v>
      </c>
      <c r="B8" s="17"/>
      <c r="C8" s="6">
        <f>Kostnadsoverslag!Q20</f>
        <v>321000</v>
      </c>
      <c r="D8" s="4" t="s">
        <v>138</v>
      </c>
      <c r="E8" s="63"/>
    </row>
    <row r="9" spans="1:5" ht="16.5" thickBot="1">
      <c r="A9" s="19" t="s">
        <v>97</v>
      </c>
      <c r="B9" s="11"/>
      <c r="C9" s="21">
        <f>Kostnadsoverslag!T23</f>
        <v>397000.05054687505</v>
      </c>
      <c r="D9" s="19" t="s">
        <v>136</v>
      </c>
      <c r="E9" s="64"/>
    </row>
    <row r="10" spans="1:5" ht="16.5" thickBot="1">
      <c r="A10" s="4" t="s">
        <v>76</v>
      </c>
      <c r="B10" s="4"/>
      <c r="C10" s="12">
        <f>Kostnadsoverslag!T21</f>
        <v>793462.1010937501</v>
      </c>
      <c r="D10" s="10"/>
      <c r="E10" s="10"/>
    </row>
    <row r="11" spans="1:8" ht="15.75">
      <c r="A11" s="4"/>
      <c r="B11" s="4"/>
      <c r="C11" s="4"/>
      <c r="D11" s="4"/>
      <c r="E11" s="4"/>
      <c r="F11" s="4"/>
      <c r="G11" s="4"/>
      <c r="H11" s="4"/>
    </row>
    <row r="12" spans="1:8" ht="15.75">
      <c r="A12" s="4"/>
      <c r="B12" s="4"/>
      <c r="C12" s="4"/>
      <c r="D12" s="4"/>
      <c r="E12" s="4"/>
      <c r="F12" s="4"/>
      <c r="G12" s="4"/>
      <c r="H12" s="4"/>
    </row>
    <row r="13" spans="1:8" ht="15.75">
      <c r="A13" s="4" t="s">
        <v>103</v>
      </c>
      <c r="B13" s="4"/>
      <c r="C13" s="10"/>
      <c r="D13" s="4"/>
      <c r="E13" s="4"/>
      <c r="F13" s="4"/>
      <c r="G13" s="4"/>
      <c r="H13" s="4"/>
    </row>
    <row r="14" spans="1:8" ht="20.25">
      <c r="A14" s="28" t="s">
        <v>101</v>
      </c>
      <c r="B14" s="4"/>
      <c r="C14" s="4"/>
      <c r="D14" s="4"/>
      <c r="E14" s="4"/>
      <c r="F14" s="4"/>
      <c r="G14" s="4"/>
      <c r="H14" s="4"/>
    </row>
    <row r="15" spans="1:8" ht="20.25">
      <c r="A15" s="28"/>
      <c r="B15" s="4"/>
      <c r="C15" s="4"/>
      <c r="D15" s="4"/>
      <c r="E15" s="4"/>
      <c r="F15" s="4"/>
      <c r="G15" s="4"/>
      <c r="H15" s="4"/>
    </row>
    <row r="16" spans="1:8" ht="15.75">
      <c r="A16" s="4"/>
      <c r="B16" s="4"/>
      <c r="C16" s="4"/>
      <c r="D16" s="4"/>
      <c r="E16" s="4"/>
      <c r="F16" s="4"/>
      <c r="G16" s="4"/>
      <c r="H16" s="4"/>
    </row>
    <row r="17" spans="1:8" ht="15.75">
      <c r="A17" s="4"/>
      <c r="B17" s="4"/>
      <c r="C17" s="4"/>
      <c r="D17" s="4"/>
      <c r="E17" s="4" t="s">
        <v>96</v>
      </c>
      <c r="F17" s="4"/>
      <c r="G17" s="4"/>
      <c r="H17" s="4"/>
    </row>
    <row r="18" spans="1:8" ht="15.75">
      <c r="A18" s="4"/>
      <c r="B18" s="4"/>
      <c r="C18" s="4"/>
      <c r="D18" s="4"/>
      <c r="E18" s="4" t="s">
        <v>139</v>
      </c>
      <c r="F18" s="4"/>
      <c r="G18" s="4"/>
      <c r="H1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="130" zoomScaleNormal="130" zoomScalePageLayoutView="0" workbookViewId="0" topLeftCell="A1">
      <selection activeCell="G12" sqref="G12"/>
    </sheetView>
  </sheetViews>
  <sheetFormatPr defaultColWidth="11.421875" defaultRowHeight="15"/>
  <cols>
    <col min="1" max="1" width="65.28125" style="0" bestFit="1" customWidth="1"/>
    <col min="2" max="3" width="10.8515625" style="0" bestFit="1" customWidth="1"/>
  </cols>
  <sheetData>
    <row r="1" spans="1:3" ht="18.75">
      <c r="A1" s="1" t="s">
        <v>143</v>
      </c>
      <c r="B1" s="4"/>
      <c r="C1" s="4"/>
    </row>
    <row r="2" spans="1:3" ht="18.75">
      <c r="A2" s="1" t="s">
        <v>144</v>
      </c>
      <c r="B2" s="4"/>
      <c r="C2" s="4"/>
    </row>
    <row r="3" spans="1:3" ht="15.75">
      <c r="A3" s="3"/>
      <c r="B3" s="4"/>
      <c r="C3" s="4"/>
    </row>
    <row r="4" spans="1:3" ht="15.75">
      <c r="A4" s="3"/>
      <c r="B4" s="4"/>
      <c r="C4" s="4"/>
    </row>
    <row r="5" spans="1:3" ht="21">
      <c r="A5" s="2" t="s">
        <v>145</v>
      </c>
      <c r="B5" s="4"/>
      <c r="C5" s="4"/>
    </row>
    <row r="6" spans="1:3" ht="15.75">
      <c r="A6" s="4"/>
      <c r="B6" s="4"/>
      <c r="C6" s="4"/>
    </row>
    <row r="7" spans="1:3" ht="16.5" thickBot="1">
      <c r="A7" s="4"/>
      <c r="B7" s="4"/>
      <c r="C7" s="4"/>
    </row>
    <row r="8" spans="1:3" ht="16.5" thickBot="1">
      <c r="A8" s="24" t="s">
        <v>3</v>
      </c>
      <c r="B8" s="25" t="s">
        <v>77</v>
      </c>
      <c r="C8" s="26" t="s">
        <v>78</v>
      </c>
    </row>
    <row r="9" spans="1:3" ht="15.75">
      <c r="A9" s="5" t="s">
        <v>79</v>
      </c>
      <c r="B9" s="6">
        <f>90*40*35</f>
        <v>126000</v>
      </c>
      <c r="C9" s="6"/>
    </row>
    <row r="10" spans="1:3" ht="15.75">
      <c r="A10" s="5" t="s">
        <v>80</v>
      </c>
      <c r="B10" s="6">
        <f>90*40*20</f>
        <v>72000</v>
      </c>
      <c r="C10" s="6"/>
    </row>
    <row r="11" spans="1:3" ht="15.75">
      <c r="A11" s="5"/>
      <c r="B11" s="6"/>
      <c r="C11" s="6"/>
    </row>
    <row r="12" spans="1:3" ht="15.75">
      <c r="A12" s="13" t="s">
        <v>81</v>
      </c>
      <c r="B12" s="6"/>
      <c r="C12" s="6"/>
    </row>
    <row r="13" spans="1:3" ht="15.75">
      <c r="A13" s="5" t="s">
        <v>82</v>
      </c>
      <c r="B13" s="6"/>
      <c r="C13" s="6">
        <v>8820</v>
      </c>
    </row>
    <row r="14" spans="1:3" ht="15.75">
      <c r="A14" s="5" t="s">
        <v>83</v>
      </c>
      <c r="B14" s="6"/>
      <c r="C14" s="6">
        <v>30000</v>
      </c>
    </row>
    <row r="15" spans="1:3" ht="15.75">
      <c r="A15" s="5" t="s">
        <v>84</v>
      </c>
      <c r="B15" s="6"/>
      <c r="C15" s="6">
        <v>7000</v>
      </c>
    </row>
    <row r="16" spans="1:3" ht="15.75">
      <c r="A16" s="5" t="s">
        <v>85</v>
      </c>
      <c r="B16" s="6"/>
      <c r="C16" s="6">
        <v>20000</v>
      </c>
    </row>
    <row r="17" spans="1:3" ht="15.75">
      <c r="A17" s="5" t="s">
        <v>86</v>
      </c>
      <c r="B17" s="6"/>
      <c r="C17" s="6">
        <v>1000</v>
      </c>
    </row>
    <row r="18" spans="1:3" ht="15.75">
      <c r="A18" s="5" t="s">
        <v>87</v>
      </c>
      <c r="B18" s="6"/>
      <c r="C18" s="6">
        <v>12500</v>
      </c>
    </row>
    <row r="19" spans="1:3" ht="15.75">
      <c r="A19" s="5" t="s">
        <v>107</v>
      </c>
      <c r="B19" s="6"/>
      <c r="C19" s="6">
        <v>45000</v>
      </c>
    </row>
    <row r="20" spans="1:3" ht="15.75">
      <c r="A20" s="7" t="s">
        <v>88</v>
      </c>
      <c r="B20" s="8"/>
      <c r="C20" s="8">
        <v>10000</v>
      </c>
    </row>
    <row r="21" spans="1:3" ht="16.5" thickBot="1">
      <c r="A21" s="7" t="s">
        <v>1</v>
      </c>
      <c r="B21" s="8">
        <f>SUM(B9:B20)</f>
        <v>198000</v>
      </c>
      <c r="C21" s="6">
        <f>SUM(C9:C20)</f>
        <v>134320</v>
      </c>
    </row>
    <row r="22" spans="1:3" ht="16.5" thickBot="1">
      <c r="A22" s="14" t="s">
        <v>89</v>
      </c>
      <c r="B22" s="15"/>
      <c r="C22" s="12">
        <f>B21-C21</f>
        <v>63680</v>
      </c>
    </row>
    <row r="23" spans="1:3" ht="15.75">
      <c r="A23" s="4"/>
      <c r="B23" s="10"/>
      <c r="C23" s="10"/>
    </row>
    <row r="24" spans="1:3" ht="15.75">
      <c r="A24" s="4"/>
      <c r="B24" s="4"/>
      <c r="C24" s="4"/>
    </row>
    <row r="25" spans="1:3" ht="15.75">
      <c r="A25" s="4"/>
      <c r="B25" s="4"/>
      <c r="C25" s="4"/>
    </row>
    <row r="26" spans="1:3" ht="15.75">
      <c r="A26" s="4"/>
      <c r="B26" s="4"/>
      <c r="C26" s="4"/>
    </row>
    <row r="27" spans="1:3" ht="15.75">
      <c r="A27" s="4" t="s">
        <v>95</v>
      </c>
      <c r="B27" s="4"/>
      <c r="C27" s="4"/>
    </row>
    <row r="28" spans="1:3" ht="15.75">
      <c r="A28" s="4"/>
      <c r="B28" s="4"/>
      <c r="C28" s="4"/>
    </row>
    <row r="29" spans="1:3" ht="15.75">
      <c r="A29" s="4"/>
      <c r="B29" s="4"/>
      <c r="C29" s="4"/>
    </row>
    <row r="30" spans="1:3" ht="15.75">
      <c r="A30" s="4" t="s">
        <v>98</v>
      </c>
      <c r="B30" s="4"/>
      <c r="C30" s="4"/>
    </row>
    <row r="31" spans="1:3" ht="15.75">
      <c r="A31" s="4" t="s">
        <v>104</v>
      </c>
      <c r="B31" s="4"/>
      <c r="C31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Gisle Løseth</dc:creator>
  <cp:keywords/>
  <dc:description/>
  <cp:lastModifiedBy>sjur.vammervold</cp:lastModifiedBy>
  <cp:lastPrinted>2014-08-25T09:04:30Z</cp:lastPrinted>
  <dcterms:created xsi:type="dcterms:W3CDTF">2013-02-07T10:06:37Z</dcterms:created>
  <dcterms:modified xsi:type="dcterms:W3CDTF">2020-08-20T07:24:10Z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display_urn:schemas-microsoft-com:office:office#Editor">
    <vt:lpwstr>Gisle Løseth</vt:lpwstr>
  </property>
  <property fmtid="{D5CDD505-2E9C-101B-9397-08002B2CF9AE}" pid="4" name="xd_Signature">
    <vt:lpwstr/>
  </property>
  <property fmtid="{D5CDD505-2E9C-101B-9397-08002B2CF9AE}" pid="5" name="Order">
    <vt:lpwstr>100.000000000000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Gisle Løseth</vt:lpwstr>
  </property>
  <property fmtid="{D5CDD505-2E9C-101B-9397-08002B2CF9AE}" pid="11" name="Dokumenttype">
    <vt:lpwstr/>
  </property>
  <property fmtid="{D5CDD505-2E9C-101B-9397-08002B2CF9AE}" pid="12" name="kaa0af3728ae4e579c454f9bb4450f29">
    <vt:lpwstr/>
  </property>
  <property fmtid="{D5CDD505-2E9C-101B-9397-08002B2CF9AE}" pid="13" name="Klassifisering">
    <vt:lpwstr/>
  </property>
  <property fmtid="{D5CDD505-2E9C-101B-9397-08002B2CF9AE}" pid="14" name="h3ecda64fe994b47aa30e5432815760a">
    <vt:lpwstr/>
  </property>
  <property fmtid="{D5CDD505-2E9C-101B-9397-08002B2CF9AE}" pid="15" name="df8ae297421a46099bed64514a3fb8ef">
    <vt:lpwstr/>
  </property>
  <property fmtid="{D5CDD505-2E9C-101B-9397-08002B2CF9AE}" pid="16" name="Avdelinger">
    <vt:lpwstr/>
  </property>
  <property fmtid="{D5CDD505-2E9C-101B-9397-08002B2CF9AE}" pid="17" name="TaxCatchAll">
    <vt:lpwstr/>
  </property>
  <property fmtid="{D5CDD505-2E9C-101B-9397-08002B2CF9AE}" pid="18" name="MediaServiceMetadata">
    <vt:lpwstr/>
  </property>
  <property fmtid="{D5CDD505-2E9C-101B-9397-08002B2CF9AE}" pid="19" name="MediaServiceFastMetadata">
    <vt:lpwstr/>
  </property>
</Properties>
</file>